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Model" sheetId="4" r:id="rId1"/>
    <sheet name="Sheet2" sheetId="9" r:id="rId2"/>
  </sheets>
  <definedNames>
    <definedName name="AngleBallToShoulder">Model!$G$18</definedName>
    <definedName name="AngleClubArm">Model!$G$11</definedName>
    <definedName name="CameraFPS">Model!$B$3</definedName>
    <definedName name="CllubSpeedBasicRotation">Model!$G$31:$G$41</definedName>
    <definedName name="ClubSpeedBasicRotation">Model!$G$31:$G$41</definedName>
    <definedName name="ClubSpeedLateralMovement">Model!$H$31:$H$41</definedName>
    <definedName name="ClubSpeedSpinalTilt">Model!$I$31:$I$41</definedName>
    <definedName name="DegreesCircle">Model!$B$23</definedName>
    <definedName name="DistanceRotationCentreToBall">Model!$D$31:$D$41</definedName>
    <definedName name="Duration">Model!$B$31:$B$41</definedName>
    <definedName name="ForwardBend">Model!$B$10</definedName>
    <definedName name="FramesDownSwing">Model!#REF!</definedName>
    <definedName name="FramesForearms">Model!$B$4</definedName>
    <definedName name="FramesHips">Model!$B$6</definedName>
    <definedName name="FramesShoulderSockets">Model!$B$5</definedName>
    <definedName name="FramesSpinalTwist">Model!$G$5</definedName>
    <definedName name="FramesUpperArm">Model!$G$4</definedName>
    <definedName name="FramesWrists">Model!$G$3</definedName>
    <definedName name="HipHeight">Model!$B$12</definedName>
    <definedName name="HipHeightAdjustment">Model!$G$12</definedName>
    <definedName name="InchSec2MPH">Model!$G$23</definedName>
    <definedName name="InchSecToMPH">Model!#REF!</definedName>
    <definedName name="LeadHipMovementPureRotation">Model!$B$19</definedName>
    <definedName name="LengthArms">Model!$G$7</definedName>
    <definedName name="LengthBallShoulder">Model!$B$20</definedName>
    <definedName name="LengthClub">Model!$B$7</definedName>
    <definedName name="LengthHipJoints">Model!$G$9</definedName>
    <definedName name="LengthHipstoSpineBase">Model!$B$11</definedName>
    <definedName name="LengthShoulderSockets">Model!$G$8</definedName>
    <definedName name="LengthSpine">Model!$G$10</definedName>
    <definedName name="MovementHipsLateralPandC">Model!$B$9</definedName>
    <definedName name="MovementShoulderSocket">Model!$B$8</definedName>
    <definedName name="Pi">Model!$B$24</definedName>
    <definedName name="_xlnm.Print_Area" localSheetId="0">Model!$A$1:$J$46</definedName>
    <definedName name="RadiusClubCircle">Model!$F$31:$F$41</definedName>
    <definedName name="RotationAngle">Model!$E$31:$E$41</definedName>
    <definedName name="RotationForearms">Model!$G$13</definedName>
    <definedName name="RotationHipsAdditional">Model!$G$16</definedName>
    <definedName name="RotationHipsBasic">Model!$G$15</definedName>
    <definedName name="RotationHipsPushClearBasic">Model!$B$21</definedName>
    <definedName name="RotationShoulderSocket">Model!$G$20</definedName>
    <definedName name="RotationSpine">Model!$B$15</definedName>
    <definedName name="RotationSpineShouldersPastImpact">Model!#REF!</definedName>
    <definedName name="RotationSpineSocketsAdditional">Model!$B$16</definedName>
    <definedName name="RotationTotal">Model!$C$31:$C$41</definedName>
    <definedName name="RotationUpperArm">Model!#REF!</definedName>
    <definedName name="RotationUpperArmInSocket">Model!#REF!</definedName>
    <definedName name="RotationUpperArms">Model!#REF!</definedName>
    <definedName name="RotationUpperArmsAroundSocket">Model!$G$14</definedName>
    <definedName name="RotationUpperArmsInSocket">Model!$B$14</definedName>
    <definedName name="RotationWrists">Model!$B$13</definedName>
    <definedName name="ScalingFactor">Model!$G$6</definedName>
    <definedName name="SpineMovementFromForwardLean">Model!$B$18</definedName>
    <definedName name="TImeForearm">Model!$B$32</definedName>
    <definedName name="TimeHips">Model!$B$38</definedName>
    <definedName name="TimeSpine">Model!$B$36</definedName>
    <definedName name="TimeUpperArmAroundSocket">Model!$B$35</definedName>
    <definedName name="TImeUpperArmInSocket">Model!$B$33</definedName>
    <definedName name="TimeWrists">Model!$B$31</definedName>
  </definedNames>
  <calcPr calcId="125725"/>
</workbook>
</file>

<file path=xl/calcChain.xml><?xml version="1.0" encoding="utf-8"?>
<calcChain xmlns="http://schemas.openxmlformats.org/spreadsheetml/2006/main">
  <c r="C36" i="4"/>
  <c r="B32"/>
  <c r="B35"/>
  <c r="B41"/>
  <c r="B40"/>
  <c r="B39"/>
  <c r="C38"/>
  <c r="B19"/>
  <c r="B21" s="1"/>
  <c r="G19" s="1"/>
  <c r="B18"/>
  <c r="C40"/>
  <c r="D33"/>
  <c r="D32"/>
  <c r="D31"/>
  <c r="F31" s="1"/>
  <c r="C34"/>
  <c r="C32"/>
  <c r="C31"/>
  <c r="C33"/>
  <c r="G23"/>
  <c r="G20"/>
  <c r="C35" s="1"/>
  <c r="E33"/>
  <c r="E32"/>
  <c r="B20"/>
  <c r="G18" s="1"/>
  <c r="B38"/>
  <c r="B36"/>
  <c r="B34"/>
  <c r="B33"/>
  <c r="B31"/>
  <c r="F32" l="1"/>
  <c r="G32" s="1"/>
  <c r="H39"/>
  <c r="G31"/>
  <c r="F33"/>
  <c r="I40"/>
  <c r="G33"/>
  <c r="I41"/>
  <c r="D39"/>
  <c r="C41"/>
  <c r="C39"/>
  <c r="D36"/>
  <c r="D34"/>
  <c r="F34" s="1"/>
  <c r="G34" s="1"/>
  <c r="D35"/>
  <c r="D40"/>
  <c r="D38"/>
  <c r="D41"/>
  <c r="J34" l="1"/>
  <c r="J32"/>
  <c r="J33"/>
  <c r="J31"/>
  <c r="E41"/>
  <c r="F41" s="1"/>
  <c r="G41" s="1"/>
  <c r="E39"/>
  <c r="F39" s="1"/>
  <c r="G39" s="1"/>
  <c r="E36"/>
  <c r="F36" s="1"/>
  <c r="G36" s="1"/>
  <c r="E40"/>
  <c r="F40" s="1"/>
  <c r="G40" s="1"/>
  <c r="E38"/>
  <c r="F38" s="1"/>
  <c r="G38" s="1"/>
  <c r="E35"/>
  <c r="F35" s="1"/>
  <c r="G35" s="1"/>
  <c r="J40" l="1"/>
  <c r="J39"/>
  <c r="J38"/>
  <c r="J41"/>
  <c r="J36"/>
  <c r="J35"/>
  <c r="J43" s="1"/>
  <c r="J46" l="1"/>
  <c r="J45"/>
  <c r="J44"/>
</calcChain>
</file>

<file path=xl/sharedStrings.xml><?xml version="1.0" encoding="utf-8"?>
<sst xmlns="http://schemas.openxmlformats.org/spreadsheetml/2006/main" count="72" uniqueCount="68">
  <si>
    <t>Total</t>
  </si>
  <si>
    <t>Cocking/Uncocking Wrists</t>
  </si>
  <si>
    <t>Moving Shoulder Socket</t>
  </si>
  <si>
    <t>Spinal Twist</t>
  </si>
  <si>
    <t>Hips</t>
  </si>
  <si>
    <t>Forearm Roll</t>
  </si>
  <si>
    <t>Rotation Upper Arm in Shoulder Socket</t>
  </si>
  <si>
    <t xml:space="preserve"> Golf Swing Model Assumptions and Calculated Values</t>
  </si>
  <si>
    <t>Distance from Rotation Centre to Ball (inches)</t>
  </si>
  <si>
    <t>Angle Between the Rotation Axis and Line from Rotation Centre to Ball (degrees)</t>
  </si>
  <si>
    <t>Radius of Circle Followed by the Club (inches)</t>
  </si>
  <si>
    <t xml:space="preserve">     Push and Clear Without Spinal Tilt</t>
  </si>
  <si>
    <t xml:space="preserve">     Push and Clear With Spinal TIlt</t>
  </si>
  <si>
    <t xml:space="preserve">     Pure Rotation With Spinal Tilt</t>
  </si>
  <si>
    <t xml:space="preserve">     Pure Rotation Without Spinal Tilt</t>
  </si>
  <si>
    <t>How many inches does the centre of the spine move away from the target as a result of the forward lean in push and clear?</t>
  </si>
  <si>
    <t>How many inches does the centre of the spine move away from the target as a result of the forward lean in pure rotation?</t>
  </si>
  <si>
    <t>Basic Rotation</t>
  </si>
  <si>
    <t>Total Rotation (degrees)</t>
  </si>
  <si>
    <t>What is the angle in degrees between the line from the shoulder socket to the ball and the ground?</t>
  </si>
  <si>
    <t>Calculated Values</t>
  </si>
  <si>
    <t>How many inches does the lead hip move foreward in the backswing in pure rotation?</t>
  </si>
  <si>
    <t>Lateral Move-ment</t>
  </si>
  <si>
    <t>Spinal Tilt</t>
  </si>
  <si>
    <t>Constants</t>
  </si>
  <si>
    <t>What is the distance (inches) from the ball to the shoulder centre?</t>
  </si>
  <si>
    <t>Degrees in a Circle</t>
  </si>
  <si>
    <t>Pi</t>
  </si>
  <si>
    <t>Inches per Second to Miles Per Hour Conversion</t>
  </si>
  <si>
    <t>Moving Upper Arm Around Shoulder Socket</t>
  </si>
  <si>
    <t>Downswing Rotation of Shoulder Socket Around Spine - Basic</t>
  </si>
  <si>
    <t>Downswing Rotation by Hips -Push and Clear - Basic (degrees)</t>
  </si>
  <si>
    <t>(miles per hour)</t>
  </si>
  <si>
    <t>Duration (seconds)</t>
  </si>
  <si>
    <t>Basic Rotation Effect (miles per hour)</t>
  </si>
  <si>
    <t>Lateral Move-ment Effect (miles per hour)</t>
  </si>
  <si>
    <t>Spinal Tilt Effect (miles per hour)</t>
  </si>
  <si>
    <t>Parameters</t>
  </si>
  <si>
    <r>
      <t xml:space="preserve">How many frames per second in your video camera? </t>
    </r>
    <r>
      <rPr>
        <sz val="11"/>
        <color rgb="FFFF0000"/>
        <rFont val="Calibri"/>
        <family val="2"/>
        <scheme val="minor"/>
      </rPr>
      <t>Default=27</t>
    </r>
  </si>
  <si>
    <r>
      <t xml:space="preserve">How many frames to roll your forearms and rotate your upper arm in the shoulder socket? </t>
    </r>
    <r>
      <rPr>
        <sz val="11"/>
        <color rgb="FFFF0000"/>
        <rFont val="Calibri"/>
        <family val="2"/>
        <scheme val="minor"/>
      </rPr>
      <t>Default=4</t>
    </r>
  </si>
  <si>
    <r>
      <t xml:space="preserve">How many frames to rotate the hips? </t>
    </r>
    <r>
      <rPr>
        <sz val="11"/>
        <color rgb="FFFF0000"/>
        <rFont val="Calibri"/>
        <family val="2"/>
        <scheme val="minor"/>
      </rPr>
      <t>Default=11</t>
    </r>
  </si>
  <si>
    <r>
      <t xml:space="preserve">What is the length of your club (inches)? </t>
    </r>
    <r>
      <rPr>
        <sz val="11"/>
        <color rgb="FFFF0000"/>
        <rFont val="Calibri"/>
        <family val="2"/>
        <scheme val="minor"/>
      </rPr>
      <t>Default=45.5</t>
    </r>
  </si>
  <si>
    <r>
      <t xml:space="preserve">How many degrees do you tilt your spine/upper body forward at the hips relative to the vertical? </t>
    </r>
    <r>
      <rPr>
        <sz val="11"/>
        <color rgb="FFFF0000"/>
        <rFont val="Calibri"/>
        <family val="2"/>
        <scheme val="minor"/>
      </rPr>
      <t>Default=30</t>
    </r>
  </si>
  <si>
    <r>
      <t xml:space="preserve">How many inches from your shoulders to the base of the spine? </t>
    </r>
    <r>
      <rPr>
        <sz val="11"/>
        <color rgb="FFFF0000"/>
        <rFont val="Calibri"/>
        <family val="2"/>
        <scheme val="minor"/>
      </rPr>
      <t>Default=17.5</t>
    </r>
  </si>
  <si>
    <r>
      <t xml:space="preserve">How many inches from the base of your spine to the centre between the two hip joints? </t>
    </r>
    <r>
      <rPr>
        <sz val="11"/>
        <color rgb="FFFF0000"/>
        <rFont val="Calibri"/>
        <family val="2"/>
        <scheme val="minor"/>
      </rPr>
      <t>Default=7.5</t>
    </r>
  </si>
  <si>
    <r>
      <t xml:space="preserve">What is the angle in degrees between the club shaft and the arm? </t>
    </r>
    <r>
      <rPr>
        <sz val="11"/>
        <color rgb="FFFF0000"/>
        <rFont val="Calibri"/>
        <family val="2"/>
        <scheme val="minor"/>
      </rPr>
      <t>Default=130</t>
    </r>
  </si>
  <si>
    <r>
      <t xml:space="preserve">How distance should be subtracted to allow for knee bend, use of tee, etc.? </t>
    </r>
    <r>
      <rPr>
        <sz val="11"/>
        <color rgb="FFFF0000"/>
        <rFont val="Calibri"/>
        <family val="2"/>
        <scheme val="minor"/>
      </rPr>
      <t>Default=2.5</t>
    </r>
  </si>
  <si>
    <r>
      <t xml:space="preserve">Downswing Rotation of Forearms (degrees) </t>
    </r>
    <r>
      <rPr>
        <sz val="11"/>
        <color rgb="FFFF0000"/>
        <rFont val="Calibri"/>
        <family val="2"/>
        <scheme val="minor"/>
      </rPr>
      <t>Default=45</t>
    </r>
  </si>
  <si>
    <r>
      <t xml:space="preserve">Downswing Rotation of Upper Arms in Shoulder Socket (degrees) </t>
    </r>
    <r>
      <rPr>
        <sz val="11"/>
        <color rgb="FFFF0000"/>
        <rFont val="Calibri"/>
        <family val="2"/>
        <scheme val="minor"/>
      </rPr>
      <t>Default=45</t>
    </r>
  </si>
  <si>
    <r>
      <t xml:space="preserve">Downswing Rotation of Upper Arms Around Shoulder Socket - Basic (degrees) </t>
    </r>
    <r>
      <rPr>
        <sz val="11"/>
        <color rgb="FFFF0000"/>
        <rFont val="Calibri"/>
        <family val="2"/>
        <scheme val="minor"/>
      </rPr>
      <t>Default=45</t>
    </r>
  </si>
  <si>
    <r>
      <t xml:space="preserve">Downswing Rotation of Spine - Basic - Top to Start (degrees) </t>
    </r>
    <r>
      <rPr>
        <sz val="11"/>
        <color rgb="FFFF0000"/>
        <rFont val="Calibri"/>
        <family val="2"/>
        <scheme val="minor"/>
      </rPr>
      <t>Default=60</t>
    </r>
  </si>
  <si>
    <r>
      <t xml:space="preserve">Downswing Rotation of Hips - Pure Rotation - Basic - Top to Start  (degrees) </t>
    </r>
    <r>
      <rPr>
        <sz val="11"/>
        <color rgb="FFFF0000"/>
        <rFont val="Calibri"/>
        <family val="2"/>
        <scheme val="minor"/>
      </rPr>
      <t>Default=45</t>
    </r>
  </si>
  <si>
    <r>
      <t xml:space="preserve">Downswing Rotation of Spine - Additional - Start to Impact (degrees) </t>
    </r>
    <r>
      <rPr>
        <sz val="11"/>
        <color rgb="FFFF0000"/>
        <rFont val="Calibri"/>
        <family val="2"/>
        <scheme val="minor"/>
      </rPr>
      <t>Default=5</t>
    </r>
  </si>
  <si>
    <r>
      <t xml:space="preserve">Downswing Rotation of Hips - Pure Rotation - Additional - Start to Impact (degrees) </t>
    </r>
    <r>
      <rPr>
        <sz val="11"/>
        <color rgb="FFFF0000"/>
        <rFont val="Calibri"/>
        <family val="2"/>
        <scheme val="minor"/>
      </rPr>
      <t>Default=10</t>
    </r>
  </si>
  <si>
    <r>
      <t xml:space="preserve">Acceleration Scaling Up Factor. </t>
    </r>
    <r>
      <rPr>
        <sz val="11"/>
        <color rgb="FFFF0000"/>
        <rFont val="Calibri"/>
        <family val="2"/>
        <scheme val="minor"/>
      </rPr>
      <t>Default=1</t>
    </r>
  </si>
  <si>
    <r>
      <t xml:space="preserve">What is the length of your arms in inches? </t>
    </r>
    <r>
      <rPr>
        <sz val="11"/>
        <color rgb="FFFF0000"/>
        <rFont val="Calibri"/>
        <family val="2"/>
        <scheme val="minor"/>
      </rPr>
      <t>Default=24.0</t>
    </r>
  </si>
  <si>
    <r>
      <t xml:space="preserve">How many inches do you move your shoulder sockets around the spine in the downswing? </t>
    </r>
    <r>
      <rPr>
        <sz val="11"/>
        <color rgb="FFFF0000"/>
        <rFont val="Calibri"/>
        <family val="2"/>
        <scheme val="minor"/>
      </rPr>
      <t>Default=3.0</t>
    </r>
  </si>
  <si>
    <r>
      <t xml:space="preserve">What is the distance in inches between your two shoulder sockets? </t>
    </r>
    <r>
      <rPr>
        <sz val="11"/>
        <color rgb="FFFF0000"/>
        <rFont val="Calibri"/>
        <family val="2"/>
        <scheme val="minor"/>
      </rPr>
      <t>Default=13.0</t>
    </r>
  </si>
  <si>
    <r>
      <t xml:space="preserve">How many inches do your hips move laterally in the push and clear? </t>
    </r>
    <r>
      <rPr>
        <sz val="11"/>
        <color rgb="FFFF0000"/>
        <rFont val="Calibri"/>
        <family val="2"/>
        <scheme val="minor"/>
      </rPr>
      <t>Default=3.0</t>
    </r>
  </si>
  <si>
    <r>
      <t xml:space="preserve">What is the distance in inches between your hip joints? </t>
    </r>
    <r>
      <rPr>
        <sz val="11"/>
        <color rgb="FFFF0000"/>
        <rFont val="Calibri"/>
        <family val="2"/>
        <scheme val="minor"/>
      </rPr>
      <t>Default=7.0</t>
    </r>
  </si>
  <si>
    <r>
      <t xml:space="preserve">Wnat is the distance from the ground to the hip joint (inches) when standing erect? </t>
    </r>
    <r>
      <rPr>
        <sz val="11"/>
        <color rgb="FFFF0000"/>
        <rFont val="Calibri"/>
        <family val="2"/>
        <scheme val="minor"/>
      </rPr>
      <t>Default=32.0</t>
    </r>
  </si>
  <si>
    <r>
      <t xml:space="preserve">How many frames to move the shoulder sockets around the spine? </t>
    </r>
    <r>
      <rPr>
        <sz val="11"/>
        <color rgb="FFFF0000"/>
        <rFont val="Calibri"/>
        <family val="2"/>
        <scheme val="minor"/>
      </rPr>
      <t>Default=6</t>
    </r>
  </si>
  <si>
    <r>
      <t xml:space="preserve">How many frames to move the upper arm in the shoulder socket? </t>
    </r>
    <r>
      <rPr>
        <sz val="11"/>
        <color rgb="FFFF0000"/>
        <rFont val="Calibri"/>
        <family val="2"/>
        <scheme val="minor"/>
      </rPr>
      <t>Default=6</t>
    </r>
  </si>
  <si>
    <r>
      <t xml:space="preserve">How many frames to uncock the wrists in the downswing? </t>
    </r>
    <r>
      <rPr>
        <sz val="11"/>
        <color rgb="FFFF0000"/>
        <rFont val="Calibri"/>
        <family val="2"/>
        <scheme val="minor"/>
      </rPr>
      <t>Default=4</t>
    </r>
  </si>
  <si>
    <r>
      <t xml:space="preserve">Downswing Rotation of Wrists (degrees) </t>
    </r>
    <r>
      <rPr>
        <sz val="11"/>
        <color rgb="FFFF0000"/>
        <rFont val="Calibri"/>
        <family val="2"/>
        <scheme val="minor"/>
      </rPr>
      <t>Default=45</t>
    </r>
  </si>
  <si>
    <t>Club Speed Calculator</t>
  </si>
  <si>
    <r>
      <t xml:space="preserve">How many frames to untwist the spine? </t>
    </r>
    <r>
      <rPr>
        <sz val="11"/>
        <color rgb="FFFF0000"/>
        <rFont val="Calibri"/>
        <family val="2"/>
        <scheme val="minor"/>
      </rPr>
      <t>Default=7</t>
    </r>
  </si>
  <si>
    <t>Club Head Speed at Impact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</si>
</sst>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000"/>
    <numFmt numFmtId="166" formatCode="0.000"/>
    <numFmt numFmtId="167" formatCode="0.000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4" fontId="0" fillId="0" borderId="0" xfId="0" applyNumberFormat="1"/>
    <xf numFmtId="0" fontId="0" fillId="0" borderId="0" xfId="0" applyAlignment="1">
      <alignment vertical="top" wrapText="1"/>
    </xf>
    <xf numFmtId="0" fontId="2" fillId="0" borderId="0" xfId="0" applyFont="1"/>
    <xf numFmtId="0" fontId="0" fillId="0" borderId="0" xfId="0" applyFont="1" applyBorder="1" applyAlignment="1">
      <alignment horizontal="right" vertical="top" wrapText="1"/>
    </xf>
    <xf numFmtId="164" fontId="0" fillId="0" borderId="0" xfId="0" applyNumberFormat="1" applyFont="1" applyBorder="1" applyAlignment="1">
      <alignment horizontal="right" vertical="top" wrapText="1"/>
    </xf>
    <xf numFmtId="2" fontId="0" fillId="0" borderId="0" xfId="0" applyNumberFormat="1"/>
    <xf numFmtId="0" fontId="6" fillId="0" borderId="0" xfId="0" applyFont="1"/>
    <xf numFmtId="0" fontId="0" fillId="0" borderId="0" xfId="0" applyBorder="1"/>
    <xf numFmtId="165" fontId="3" fillId="0" borderId="0" xfId="0" applyNumberFormat="1" applyFont="1" applyBorder="1"/>
    <xf numFmtId="165" fontId="0" fillId="0" borderId="0" xfId="0" applyNumberFormat="1" applyBorder="1"/>
    <xf numFmtId="0" fontId="0" fillId="0" borderId="0" xfId="0" applyBorder="1" applyAlignment="1">
      <alignment wrapText="1"/>
    </xf>
    <xf numFmtId="166" fontId="0" fillId="0" borderId="0" xfId="0" applyNumberFormat="1" applyBorder="1"/>
    <xf numFmtId="0" fontId="0" fillId="0" borderId="0" xfId="0" applyAlignment="1">
      <alignment wrapText="1"/>
    </xf>
    <xf numFmtId="164" fontId="0" fillId="0" borderId="0" xfId="0" applyNumberFormat="1" applyBorder="1" applyAlignment="1">
      <alignment horizontal="right" vertical="top" wrapText="1"/>
    </xf>
    <xf numFmtId="0" fontId="0" fillId="0" borderId="0" xfId="0" applyAlignment="1">
      <alignment horizontal="right" vertical="top"/>
    </xf>
    <xf numFmtId="0" fontId="0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4" fontId="3" fillId="0" borderId="0" xfId="0" applyNumberFormat="1" applyFont="1" applyBorder="1"/>
    <xf numFmtId="16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 applyAlignment="1">
      <alignment horizontal="right" vertical="top"/>
    </xf>
    <xf numFmtId="2" fontId="3" fillId="0" borderId="0" xfId="0" applyNumberFormat="1" applyFont="1" applyBorder="1"/>
    <xf numFmtId="4" fontId="7" fillId="0" borderId="0" xfId="0" applyNumberFormat="1" applyFont="1" applyBorder="1"/>
    <xf numFmtId="0" fontId="7" fillId="0" borderId="0" xfId="0" applyFont="1" applyBorder="1"/>
    <xf numFmtId="4" fontId="7" fillId="0" borderId="0" xfId="0" applyNumberFormat="1" applyFont="1" applyBorder="1" applyAlignment="1">
      <alignment horizontal="right" vertical="top"/>
    </xf>
    <xf numFmtId="2" fontId="3" fillId="0" borderId="0" xfId="0" applyNumberFormat="1" applyFont="1" applyFill="1" applyBorder="1" applyAlignment="1">
      <alignment horizontal="right" vertical="top"/>
    </xf>
    <xf numFmtId="1" fontId="3" fillId="0" borderId="0" xfId="0" applyNumberFormat="1" applyFont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 vertical="top"/>
    </xf>
    <xf numFmtId="0" fontId="4" fillId="0" borderId="0" xfId="0" applyFont="1" applyBorder="1"/>
    <xf numFmtId="2" fontId="7" fillId="0" borderId="0" xfId="0" applyNumberFormat="1" applyFont="1" applyBorder="1"/>
    <xf numFmtId="164" fontId="3" fillId="0" borderId="0" xfId="0" applyNumberFormat="1" applyFont="1" applyFill="1" applyBorder="1"/>
    <xf numFmtId="2" fontId="7" fillId="0" borderId="0" xfId="0" applyNumberFormat="1" applyFont="1" applyFill="1" applyBorder="1"/>
    <xf numFmtId="0" fontId="4" fillId="0" borderId="0" xfId="0" applyFont="1" applyFill="1" applyBorder="1"/>
    <xf numFmtId="0" fontId="5" fillId="0" borderId="0" xfId="0" applyFont="1" applyBorder="1"/>
    <xf numFmtId="0" fontId="5" fillId="2" borderId="0" xfId="0" applyFont="1" applyFill="1" applyBorder="1"/>
    <xf numFmtId="4" fontId="3" fillId="2" borderId="0" xfId="0" applyNumberFormat="1" applyFont="1" applyFill="1" applyBorder="1"/>
    <xf numFmtId="0" fontId="4" fillId="2" borderId="0" xfId="0" applyFont="1" applyFill="1" applyBorder="1"/>
    <xf numFmtId="4" fontId="7" fillId="0" borderId="0" xfId="0" applyNumberFormat="1" applyFont="1" applyFill="1" applyBorder="1" applyAlignment="1">
      <alignment horizontal="right" vertical="top"/>
    </xf>
    <xf numFmtId="164" fontId="0" fillId="0" borderId="0" xfId="0" applyNumberFormat="1" applyFill="1" applyBorder="1" applyAlignment="1">
      <alignment horizontal="right" vertical="top"/>
    </xf>
    <xf numFmtId="1" fontId="0" fillId="0" borderId="0" xfId="0" applyNumberFormat="1" applyBorder="1" applyAlignment="1">
      <alignment horizontal="right" vertical="top" wrapText="1"/>
    </xf>
    <xf numFmtId="164" fontId="0" fillId="0" borderId="0" xfId="0" applyNumberFormat="1" applyAlignment="1">
      <alignment horizontal="right" vertical="top"/>
    </xf>
    <xf numFmtId="164" fontId="0" fillId="0" borderId="0" xfId="0" applyNumberFormat="1" applyFont="1" applyFill="1" applyBorder="1" applyAlignment="1">
      <alignment horizontal="righ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/>
    <xf numFmtId="0" fontId="0" fillId="0" borderId="0" xfId="0" applyFill="1" applyBorder="1" applyAlignment="1">
      <alignment horizontal="left" vertical="top" wrapText="1"/>
    </xf>
    <xf numFmtId="0" fontId="10" fillId="0" borderId="0" xfId="0" applyFont="1" applyAlignment="1">
      <alignment wrapText="1"/>
    </xf>
    <xf numFmtId="167" fontId="3" fillId="0" borderId="0" xfId="0" applyNumberFormat="1" applyFont="1" applyFill="1" applyBorder="1" applyAlignment="1">
      <alignment horizontal="right" vertical="top"/>
    </xf>
    <xf numFmtId="0" fontId="0" fillId="0" borderId="0" xfId="0" applyBorder="1" applyAlignment="1">
      <alignment horizontal="left" vertical="top" wrapText="1"/>
    </xf>
    <xf numFmtId="167" fontId="0" fillId="0" borderId="0" xfId="0" applyNumberFormat="1" applyFill="1" applyBorder="1" applyAlignment="1">
      <alignment horizontal="right" vertical="top"/>
    </xf>
    <xf numFmtId="4" fontId="3" fillId="0" borderId="0" xfId="0" applyNumberFormat="1" applyFont="1" applyBorder="1" applyAlignment="1">
      <alignment vertical="top"/>
    </xf>
    <xf numFmtId="4" fontId="3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wrapText="1"/>
    </xf>
    <xf numFmtId="4" fontId="7" fillId="2" borderId="0" xfId="0" applyNumberFormat="1" applyFont="1" applyFill="1" applyBorder="1" applyAlignment="1">
      <alignment horizontal="right" vertical="top"/>
    </xf>
    <xf numFmtId="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4" fontId="5" fillId="0" borderId="0" xfId="0" applyNumberFormat="1" applyFont="1" applyBorder="1" applyAlignment="1">
      <alignment horizontal="center" vertical="top" wrapText="1"/>
    </xf>
    <xf numFmtId="164" fontId="3" fillId="2" borderId="0" xfId="0" applyNumberFormat="1" applyFont="1" applyFill="1" applyBorder="1"/>
    <xf numFmtId="0" fontId="0" fillId="2" borderId="0" xfId="0" applyFill="1"/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vertical="top"/>
    </xf>
    <xf numFmtId="0" fontId="9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2" borderId="0" xfId="0" applyFill="1" applyAlignment="1"/>
    <xf numFmtId="0" fontId="1" fillId="0" borderId="0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8" fillId="3" borderId="0" xfId="0" applyFont="1" applyFill="1" applyBorder="1" applyAlignment="1">
      <alignment horizontal="center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/>
    <xf numFmtId="0" fontId="0" fillId="2" borderId="0" xfId="0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center" vertical="top"/>
    </xf>
    <xf numFmtId="0" fontId="8" fillId="3" borderId="0" xfId="0" applyFont="1" applyFill="1" applyAlignment="1">
      <alignment horizontal="center"/>
    </xf>
    <xf numFmtId="0" fontId="0" fillId="0" borderId="0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2"/>
  <sheetViews>
    <sheetView tabSelected="1" topLeftCell="A9" workbookViewId="0">
      <selection activeCell="B8" sqref="B8"/>
    </sheetView>
  </sheetViews>
  <sheetFormatPr defaultRowHeight="15"/>
  <cols>
    <col min="1" max="1" width="34.42578125" customWidth="1"/>
    <col min="2" max="5" width="9.5703125" customWidth="1"/>
    <col min="6" max="6" width="9.5703125" style="15" customWidth="1"/>
    <col min="7" max="9" width="9.5703125" customWidth="1"/>
    <col min="10" max="10" width="9.5703125" style="1" customWidth="1"/>
    <col min="11" max="11" width="6.7109375" style="15" customWidth="1"/>
  </cols>
  <sheetData>
    <row r="1" spans="1:11" ht="23.25">
      <c r="A1" s="71" t="s">
        <v>7</v>
      </c>
      <c r="B1" s="72"/>
      <c r="C1" s="72"/>
      <c r="D1" s="72"/>
      <c r="E1" s="72"/>
      <c r="F1" s="72"/>
      <c r="G1" s="72"/>
      <c r="H1" s="72"/>
      <c r="I1" s="72"/>
      <c r="J1" s="72"/>
      <c r="K1" s="50"/>
    </row>
    <row r="2" spans="1:11" ht="18.75" customHeight="1">
      <c r="A2" s="77" t="s">
        <v>37</v>
      </c>
      <c r="B2" s="80"/>
      <c r="C2" s="80"/>
      <c r="D2" s="80"/>
      <c r="E2" s="80"/>
      <c r="F2" s="80"/>
      <c r="G2" s="80"/>
      <c r="H2" s="82"/>
      <c r="I2" s="82"/>
      <c r="J2" s="82"/>
      <c r="K2" s="58"/>
    </row>
    <row r="3" spans="1:11" ht="30" customHeight="1">
      <c r="A3" s="59" t="s">
        <v>38</v>
      </c>
      <c r="B3" s="16">
        <v>27</v>
      </c>
      <c r="C3" s="73" t="s">
        <v>63</v>
      </c>
      <c r="D3" s="73"/>
      <c r="E3" s="73"/>
      <c r="F3" s="73"/>
      <c r="G3" s="44">
        <v>4</v>
      </c>
      <c r="H3" s="82"/>
      <c r="I3" s="82"/>
      <c r="J3" s="82"/>
    </row>
    <row r="4" spans="1:11" s="13" customFormat="1" ht="45" customHeight="1">
      <c r="A4" s="60" t="s">
        <v>39</v>
      </c>
      <c r="B4" s="44">
        <v>4</v>
      </c>
      <c r="C4" s="78" t="s">
        <v>62</v>
      </c>
      <c r="D4" s="81"/>
      <c r="E4" s="81"/>
      <c r="F4" s="81"/>
      <c r="G4" s="44">
        <v>6</v>
      </c>
      <c r="H4" s="82"/>
      <c r="I4" s="82"/>
      <c r="J4" s="82"/>
    </row>
    <row r="5" spans="1:11" ht="45" customHeight="1">
      <c r="A5" s="68" t="s">
        <v>61</v>
      </c>
      <c r="B5" s="70">
        <v>6</v>
      </c>
      <c r="C5" s="73" t="s">
        <v>66</v>
      </c>
      <c r="D5" s="80"/>
      <c r="E5" s="80"/>
      <c r="F5" s="80"/>
      <c r="G5" s="44">
        <v>7</v>
      </c>
      <c r="H5" s="82"/>
      <c r="I5" s="82"/>
      <c r="J5" s="82"/>
    </row>
    <row r="6" spans="1:11" ht="30" customHeight="1">
      <c r="A6" s="2" t="s">
        <v>40</v>
      </c>
      <c r="B6" s="44">
        <v>11</v>
      </c>
      <c r="C6" s="78" t="s">
        <v>54</v>
      </c>
      <c r="D6" s="78"/>
      <c r="E6" s="78"/>
      <c r="F6" s="78"/>
      <c r="G6" s="4">
        <v>1</v>
      </c>
      <c r="H6" s="82"/>
      <c r="I6" s="82"/>
      <c r="J6" s="82"/>
    </row>
    <row r="7" spans="1:11" ht="30" customHeight="1">
      <c r="A7" s="59" t="s">
        <v>41</v>
      </c>
      <c r="B7" s="5">
        <v>45.5</v>
      </c>
      <c r="C7" s="86" t="s">
        <v>55</v>
      </c>
      <c r="D7" s="86"/>
      <c r="E7" s="86"/>
      <c r="F7" s="86"/>
      <c r="G7" s="5">
        <v>24</v>
      </c>
      <c r="H7" s="82"/>
      <c r="I7" s="82"/>
      <c r="J7" s="82"/>
    </row>
    <row r="8" spans="1:11" ht="45" customHeight="1">
      <c r="A8" s="59" t="s">
        <v>56</v>
      </c>
      <c r="B8" s="5">
        <v>3</v>
      </c>
      <c r="C8" s="73" t="s">
        <v>57</v>
      </c>
      <c r="D8" s="73"/>
      <c r="E8" s="73"/>
      <c r="F8" s="73"/>
      <c r="G8" s="5">
        <v>13</v>
      </c>
      <c r="H8" s="82"/>
      <c r="I8" s="82"/>
      <c r="J8" s="82"/>
    </row>
    <row r="9" spans="1:11" ht="45" customHeight="1">
      <c r="A9" s="59" t="s">
        <v>58</v>
      </c>
      <c r="B9" s="46">
        <v>3</v>
      </c>
      <c r="C9" s="73" t="s">
        <v>59</v>
      </c>
      <c r="D9" s="73"/>
      <c r="E9" s="73"/>
      <c r="F9" s="73"/>
      <c r="G9" s="5">
        <v>7</v>
      </c>
      <c r="H9" s="82"/>
      <c r="I9" s="82"/>
      <c r="J9" s="82"/>
    </row>
    <row r="10" spans="1:11" ht="45" customHeight="1">
      <c r="A10" s="59" t="s">
        <v>42</v>
      </c>
      <c r="B10" s="4">
        <v>30</v>
      </c>
      <c r="C10" s="73" t="s">
        <v>43</v>
      </c>
      <c r="D10" s="73"/>
      <c r="E10" s="73"/>
      <c r="F10" s="73"/>
      <c r="G10" s="5">
        <v>17.5</v>
      </c>
      <c r="H10" s="82"/>
      <c r="I10" s="82"/>
      <c r="J10" s="82"/>
    </row>
    <row r="11" spans="1:11" ht="45" customHeight="1">
      <c r="A11" s="59" t="s">
        <v>44</v>
      </c>
      <c r="B11" s="5">
        <v>7.5</v>
      </c>
      <c r="C11" s="73" t="s">
        <v>45</v>
      </c>
      <c r="D11" s="80"/>
      <c r="E11" s="80"/>
      <c r="F11" s="80"/>
      <c r="G11" s="4">
        <v>130</v>
      </c>
      <c r="H11" s="82"/>
      <c r="I11" s="82"/>
      <c r="J11" s="82"/>
    </row>
    <row r="12" spans="1:11" ht="45" customHeight="1">
      <c r="A12" s="59" t="s">
        <v>60</v>
      </c>
      <c r="B12" s="5">
        <v>32</v>
      </c>
      <c r="C12" s="73" t="s">
        <v>46</v>
      </c>
      <c r="D12" s="80"/>
      <c r="E12" s="80"/>
      <c r="F12" s="80"/>
      <c r="G12" s="5">
        <v>2.5</v>
      </c>
      <c r="H12" s="82"/>
      <c r="I12" s="82"/>
      <c r="J12" s="82"/>
    </row>
    <row r="13" spans="1:11" ht="30" customHeight="1">
      <c r="A13" s="69" t="s">
        <v>64</v>
      </c>
      <c r="B13" s="5">
        <v>45</v>
      </c>
      <c r="C13" s="73" t="s">
        <v>47</v>
      </c>
      <c r="D13" s="80"/>
      <c r="E13" s="80"/>
      <c r="F13" s="80"/>
      <c r="G13" s="5">
        <v>45</v>
      </c>
      <c r="H13" s="82"/>
      <c r="I13" s="82"/>
      <c r="J13" s="82"/>
    </row>
    <row r="14" spans="1:11" ht="45" customHeight="1">
      <c r="A14" s="59" t="s">
        <v>48</v>
      </c>
      <c r="B14" s="5">
        <v>45</v>
      </c>
      <c r="C14" s="73" t="s">
        <v>49</v>
      </c>
      <c r="D14" s="80"/>
      <c r="E14" s="80"/>
      <c r="F14" s="80"/>
      <c r="G14" s="5">
        <v>45</v>
      </c>
      <c r="H14" s="82"/>
      <c r="I14" s="82"/>
      <c r="J14" s="82"/>
    </row>
    <row r="15" spans="1:11" ht="45" customHeight="1">
      <c r="A15" s="59" t="s">
        <v>50</v>
      </c>
      <c r="B15" s="5">
        <v>60</v>
      </c>
      <c r="C15" s="73" t="s">
        <v>51</v>
      </c>
      <c r="D15" s="80"/>
      <c r="E15" s="80"/>
      <c r="F15" s="80"/>
      <c r="G15" s="5">
        <v>45</v>
      </c>
      <c r="H15" s="82"/>
      <c r="I15" s="82"/>
      <c r="J15" s="82"/>
    </row>
    <row r="16" spans="1:11" ht="45" customHeight="1">
      <c r="A16" s="59" t="s">
        <v>52</v>
      </c>
      <c r="B16" s="14">
        <v>5</v>
      </c>
      <c r="C16" s="73" t="s">
        <v>53</v>
      </c>
      <c r="D16" s="80"/>
      <c r="E16" s="80"/>
      <c r="F16" s="80"/>
      <c r="G16" s="5">
        <v>10</v>
      </c>
      <c r="H16" s="82"/>
      <c r="I16" s="82"/>
      <c r="J16" s="82"/>
    </row>
    <row r="17" spans="1:12" ht="15" customHeight="1">
      <c r="A17" s="85" t="s">
        <v>20</v>
      </c>
      <c r="B17" s="85"/>
      <c r="C17" s="85"/>
      <c r="D17" s="85"/>
      <c r="E17" s="85"/>
      <c r="F17" s="85"/>
      <c r="G17" s="85"/>
      <c r="H17" s="82"/>
      <c r="I17" s="82"/>
      <c r="J17" s="82"/>
      <c r="K17" s="57"/>
    </row>
    <row r="18" spans="1:12" ht="60" customHeight="1">
      <c r="A18" s="49" t="s">
        <v>16</v>
      </c>
      <c r="B18" s="43">
        <f>(LengthSpine+LengthHipstoSpineBase)*SIN(RADIANS(ForwardBend))*SIN(RADIANS(RotationHipsBasic))</f>
        <v>8.8388347648318426</v>
      </c>
      <c r="C18" s="78" t="s">
        <v>19</v>
      </c>
      <c r="D18" s="78"/>
      <c r="E18" s="78"/>
      <c r="F18" s="78"/>
      <c r="G18" s="45">
        <f>DEGREES(ASIN(((HipHeight-HipHeightAdjustment+COS(RADIANS(ForwardBend))*(LengthSpine+LengthHipstoSpineBase)))/LengthBallShoulder))</f>
        <v>53.489221619651467</v>
      </c>
      <c r="H18" s="82"/>
      <c r="I18" s="82"/>
      <c r="J18" s="82"/>
      <c r="L18" s="6"/>
    </row>
    <row r="19" spans="1:12" ht="60" customHeight="1">
      <c r="A19" s="49" t="s">
        <v>21</v>
      </c>
      <c r="B19" s="43">
        <f>SIN(RADIANS(RotationHipsBasic/2))*LengthHipJoints/2*2</f>
        <v>2.6787840265556286</v>
      </c>
      <c r="C19" s="79" t="s">
        <v>15</v>
      </c>
      <c r="D19" s="79"/>
      <c r="E19" s="79"/>
      <c r="F19" s="79"/>
      <c r="G19" s="43">
        <f>(LengthSpine+LengthHipstoSpineBase)*SIN(RADIANS(ForwardBend))*SIN(RADIANS(RotationHipsPushClearBasic))</f>
        <v>4.6951596926889216</v>
      </c>
      <c r="H19" s="82"/>
      <c r="I19" s="82"/>
      <c r="J19" s="82"/>
    </row>
    <row r="20" spans="1:12" ht="30" customHeight="1">
      <c r="A20" s="49" t="s">
        <v>25</v>
      </c>
      <c r="B20" s="28">
        <f>(LengthClub^2+LengthArms^2-2*LengthClub*LengthArms*COS(RADIANS(AngleClubArm)))^0.5</f>
        <v>63.640381359286351</v>
      </c>
      <c r="C20" s="79" t="s">
        <v>30</v>
      </c>
      <c r="D20" s="79"/>
      <c r="E20" s="79"/>
      <c r="F20" s="79"/>
      <c r="G20" s="35">
        <f>DEGREES(ACOS(((LengthShoulderSockets/2)^2+(LengthShoulderSockets/2)^2-MovementShoulderSocket^2)/(2*(LengthShoulderSockets/2)*(LengthShoulderSockets/2))))</f>
        <v>26.684727594176476</v>
      </c>
      <c r="H20" s="82"/>
      <c r="I20" s="82"/>
      <c r="J20" s="82"/>
    </row>
    <row r="21" spans="1:12" ht="30" customHeight="1">
      <c r="A21" s="49" t="s">
        <v>31</v>
      </c>
      <c r="B21" s="35">
        <f>DEGREES(ASIN(LeadHipMovementPureRotation/2/LengthHipJoints))*2</f>
        <v>22.062191157541477</v>
      </c>
      <c r="C21" s="83"/>
      <c r="D21" s="83"/>
      <c r="E21" s="83"/>
      <c r="F21" s="83"/>
      <c r="G21" s="66"/>
      <c r="H21" s="82"/>
      <c r="I21" s="82"/>
      <c r="J21" s="82"/>
    </row>
    <row r="22" spans="1:12" ht="18.75" customHeight="1">
      <c r="A22" s="84" t="s">
        <v>24</v>
      </c>
      <c r="B22" s="80"/>
      <c r="C22" s="80"/>
      <c r="D22" s="80"/>
      <c r="E22" s="80"/>
      <c r="F22" s="80"/>
      <c r="G22" s="80"/>
      <c r="H22" s="82"/>
      <c r="I22" s="82"/>
      <c r="J22" s="82"/>
      <c r="K22" s="48"/>
    </row>
    <row r="23" spans="1:12" ht="30" customHeight="1">
      <c r="A23" s="49" t="s">
        <v>26</v>
      </c>
      <c r="B23" s="43">
        <v>360</v>
      </c>
      <c r="C23" s="79" t="s">
        <v>28</v>
      </c>
      <c r="D23" s="79"/>
      <c r="E23" s="79"/>
      <c r="F23" s="79"/>
      <c r="G23" s="53">
        <f>3600/(12*5280)</f>
        <v>5.6818181818181816E-2</v>
      </c>
      <c r="H23" s="82"/>
      <c r="I23" s="82"/>
      <c r="J23" s="82"/>
    </row>
    <row r="24" spans="1:12" ht="30" customHeight="1">
      <c r="A24" s="49" t="s">
        <v>27</v>
      </c>
      <c r="B24" s="51">
        <v>3.1415999999999999</v>
      </c>
      <c r="C24" s="74"/>
      <c r="D24" s="74"/>
      <c r="E24" s="74"/>
      <c r="F24" s="74"/>
      <c r="G24" s="67"/>
      <c r="H24" s="82"/>
      <c r="I24" s="82"/>
      <c r="J24" s="82"/>
    </row>
    <row r="25" spans="1:12" ht="30" customHeight="1">
      <c r="A25" s="79"/>
      <c r="B25" s="82"/>
      <c r="C25" s="82"/>
      <c r="D25" s="82"/>
      <c r="E25" s="82"/>
      <c r="F25" s="82"/>
      <c r="G25" s="82"/>
      <c r="H25" s="82"/>
      <c r="I25" s="82"/>
      <c r="J25" s="82"/>
    </row>
    <row r="26" spans="1:12" ht="30" customHeight="1">
      <c r="A26" s="82"/>
      <c r="B26" s="82"/>
      <c r="C26" s="82"/>
      <c r="D26" s="82"/>
      <c r="E26" s="82"/>
      <c r="F26" s="82"/>
      <c r="G26" s="82"/>
      <c r="H26" s="82"/>
      <c r="I26" s="82"/>
      <c r="J26" s="82"/>
    </row>
    <row r="27" spans="1:12" ht="30" customHeight="1">
      <c r="A27" s="82"/>
      <c r="B27" s="82"/>
      <c r="C27" s="82"/>
      <c r="D27" s="82"/>
      <c r="E27" s="82"/>
      <c r="F27" s="82"/>
      <c r="G27" s="82"/>
      <c r="H27" s="82"/>
      <c r="I27" s="82"/>
      <c r="J27" s="82"/>
    </row>
    <row r="28" spans="1:12" ht="18.75" customHeight="1">
      <c r="A28" s="77" t="s">
        <v>65</v>
      </c>
      <c r="B28" s="77"/>
      <c r="C28" s="77"/>
      <c r="D28" s="77"/>
      <c r="E28" s="77"/>
      <c r="F28" s="77"/>
      <c r="G28" s="77"/>
      <c r="H28" s="77"/>
      <c r="I28" s="77"/>
      <c r="J28" s="77"/>
      <c r="K28" s="56"/>
    </row>
    <row r="29" spans="1:12" ht="38.25" customHeight="1">
      <c r="A29" s="17"/>
      <c r="B29" s="75" t="s">
        <v>17</v>
      </c>
      <c r="C29" s="76"/>
      <c r="D29" s="76"/>
      <c r="E29" s="76"/>
      <c r="F29" s="76"/>
      <c r="G29" s="76"/>
      <c r="H29" s="64" t="s">
        <v>22</v>
      </c>
      <c r="I29" s="65" t="s">
        <v>23</v>
      </c>
      <c r="J29" s="64" t="s">
        <v>67</v>
      </c>
    </row>
    <row r="30" spans="1:12" s="2" customFormat="1" ht="127.5">
      <c r="A30" s="18"/>
      <c r="B30" s="62" t="s">
        <v>33</v>
      </c>
      <c r="C30" s="63" t="s">
        <v>18</v>
      </c>
      <c r="D30" s="63" t="s">
        <v>8</v>
      </c>
      <c r="E30" s="63" t="s">
        <v>9</v>
      </c>
      <c r="F30" s="63" t="s">
        <v>10</v>
      </c>
      <c r="G30" s="63" t="s">
        <v>34</v>
      </c>
      <c r="H30" s="52" t="s">
        <v>35</v>
      </c>
      <c r="I30" s="52" t="s">
        <v>36</v>
      </c>
      <c r="J30" s="47" t="s">
        <v>32</v>
      </c>
    </row>
    <row r="31" spans="1:12">
      <c r="A31" s="19" t="s">
        <v>1</v>
      </c>
      <c r="B31" s="20">
        <f>FramesWrists/CameraFPS</f>
        <v>0.14814814814814814</v>
      </c>
      <c r="C31" s="21">
        <f>RotationWrists</f>
        <v>45</v>
      </c>
      <c r="D31" s="23">
        <f>LengthClub</f>
        <v>45.5</v>
      </c>
      <c r="E31" s="22">
        <v>90</v>
      </c>
      <c r="F31" s="24">
        <f t="shared" ref="F31:F36" si="0">DistanceRotationCentreToBall*SIN(RADIANS(RotationAngle))</f>
        <v>45.5</v>
      </c>
      <c r="G31" s="25">
        <f t="shared" ref="G31:G36" si="1">(RotationTotal/DegreesCircle)*(2*RadiusClubCircle*Pi)/Duration*ScalingFactor*InchSec2MPH</f>
        <v>13.705453125</v>
      </c>
      <c r="H31" s="26">
        <v>0</v>
      </c>
      <c r="I31" s="25">
        <v>0</v>
      </c>
      <c r="J31" s="27">
        <f t="shared" ref="J31:J36" si="2">ClubSpeedBasicRotation+ClubSpeedLateralMovement+ClubSpeedSpinalTilt</f>
        <v>13.705453125</v>
      </c>
      <c r="K31"/>
    </row>
    <row r="32" spans="1:12">
      <c r="A32" s="22" t="s">
        <v>5</v>
      </c>
      <c r="B32" s="20">
        <f>FramesForearms/CameraFPS</f>
        <v>0.14814814814814814</v>
      </c>
      <c r="C32" s="21">
        <f>RotationForearms</f>
        <v>45</v>
      </c>
      <c r="D32" s="23">
        <f>LengthClub</f>
        <v>45.5</v>
      </c>
      <c r="E32" s="22">
        <f>180-AngleClubArm</f>
        <v>50</v>
      </c>
      <c r="F32" s="24">
        <f t="shared" si="0"/>
        <v>34.855022161913503</v>
      </c>
      <c r="G32" s="25">
        <f t="shared" si="1"/>
        <v>10.498986206833884</v>
      </c>
      <c r="H32" s="26">
        <v>0</v>
      </c>
      <c r="I32" s="25">
        <v>0</v>
      </c>
      <c r="J32" s="27">
        <f t="shared" si="2"/>
        <v>10.498986206833884</v>
      </c>
      <c r="K32"/>
    </row>
    <row r="33" spans="1:12">
      <c r="A33" s="22" t="s">
        <v>6</v>
      </c>
      <c r="B33" s="20">
        <f>FramesForearms/CameraFPS</f>
        <v>0.14814814814814814</v>
      </c>
      <c r="C33" s="21">
        <f>RotationUpperArmsInSocket</f>
        <v>45</v>
      </c>
      <c r="D33" s="23">
        <f>LengthClub</f>
        <v>45.5</v>
      </c>
      <c r="E33" s="22">
        <f>180-AngleClubArm</f>
        <v>50</v>
      </c>
      <c r="F33" s="24">
        <f t="shared" si="0"/>
        <v>34.855022161913503</v>
      </c>
      <c r="G33" s="25">
        <f t="shared" si="1"/>
        <v>10.498986206833884</v>
      </c>
      <c r="H33" s="26">
        <v>0</v>
      </c>
      <c r="I33" s="25">
        <v>0</v>
      </c>
      <c r="J33" s="27">
        <f t="shared" si="2"/>
        <v>10.498986206833884</v>
      </c>
      <c r="K33"/>
    </row>
    <row r="34" spans="1:12">
      <c r="A34" s="22" t="s">
        <v>29</v>
      </c>
      <c r="B34" s="20">
        <f>FramesUpperArm/CameraFPS</f>
        <v>0.22222222222222221</v>
      </c>
      <c r="C34" s="21">
        <f>RotationUpperArmsAroundSocket</f>
        <v>45</v>
      </c>
      <c r="D34" s="28">
        <f>LengthBallShoulder</f>
        <v>63.640381359286351</v>
      </c>
      <c r="E34" s="29">
        <v>90</v>
      </c>
      <c r="F34" s="24">
        <f t="shared" si="0"/>
        <v>63.640381359286351</v>
      </c>
      <c r="G34" s="25">
        <f t="shared" si="1"/>
        <v>12.779784081711691</v>
      </c>
      <c r="H34" s="26">
        <v>0</v>
      </c>
      <c r="I34" s="25">
        <v>0</v>
      </c>
      <c r="J34" s="27">
        <f t="shared" si="2"/>
        <v>12.779784081711691</v>
      </c>
      <c r="K34"/>
    </row>
    <row r="35" spans="1:12">
      <c r="A35" s="22" t="s">
        <v>2</v>
      </c>
      <c r="B35" s="20">
        <f>FramesShoulderSockets/CameraFPS</f>
        <v>0.22222222222222221</v>
      </c>
      <c r="C35" s="21">
        <f>RotationShoulderSocket+RotationSpineSocketsAdditional</f>
        <v>31.684727594176476</v>
      </c>
      <c r="D35" s="28">
        <f>LengthBallShoulder</f>
        <v>63.640381359286351</v>
      </c>
      <c r="E35" s="29">
        <f>ForwardBend+90-G18</f>
        <v>66.51077838034854</v>
      </c>
      <c r="F35" s="24">
        <f t="shared" si="0"/>
        <v>58.366825620738403</v>
      </c>
      <c r="G35" s="25">
        <f t="shared" si="1"/>
        <v>8.252666230097164</v>
      </c>
      <c r="H35" s="26">
        <v>0</v>
      </c>
      <c r="I35" s="25">
        <v>0</v>
      </c>
      <c r="J35" s="27">
        <f t="shared" si="2"/>
        <v>8.252666230097164</v>
      </c>
      <c r="K35"/>
    </row>
    <row r="36" spans="1:12">
      <c r="A36" s="22" t="s">
        <v>3</v>
      </c>
      <c r="B36" s="20">
        <f>FramesSpinalTwist/CameraFPS</f>
        <v>0.25925925925925924</v>
      </c>
      <c r="C36" s="21">
        <f>RotationSpine+RotationSpineSocketsAdditional</f>
        <v>65</v>
      </c>
      <c r="D36" s="28">
        <f>LengthBallShoulder</f>
        <v>63.640381359286351</v>
      </c>
      <c r="E36" s="29">
        <f>ForwardBend+90-G18</f>
        <v>66.51077838034854</v>
      </c>
      <c r="F36" s="24">
        <f t="shared" si="0"/>
        <v>58.366825620738403</v>
      </c>
      <c r="G36" s="25">
        <f t="shared" si="1"/>
        <v>14.511452019956085</v>
      </c>
      <c r="H36" s="26">
        <v>0</v>
      </c>
      <c r="I36" s="25">
        <v>0</v>
      </c>
      <c r="J36" s="27">
        <f t="shared" si="2"/>
        <v>14.511452019956085</v>
      </c>
      <c r="K36"/>
    </row>
    <row r="37" spans="1:12">
      <c r="A37" s="22" t="s">
        <v>4</v>
      </c>
      <c r="B37" s="30"/>
      <c r="C37" s="31"/>
      <c r="D37" s="32"/>
      <c r="E37" s="31"/>
      <c r="F37" s="31"/>
      <c r="G37" s="31"/>
      <c r="H37" s="31"/>
      <c r="I37" s="31"/>
      <c r="J37" s="61"/>
      <c r="K37"/>
    </row>
    <row r="38" spans="1:12" s="3" customFormat="1">
      <c r="A38" s="33" t="s">
        <v>14</v>
      </c>
      <c r="B38" s="54">
        <f>FramesHips/CameraFPS</f>
        <v>0.40740740740740738</v>
      </c>
      <c r="C38" s="21">
        <f>RotationHipsBasic+RotationHipsAdditional</f>
        <v>55</v>
      </c>
      <c r="D38" s="28">
        <f>LengthBallShoulder+(LengthSpine+LengthHipstoSpineBase)*SIN(RADIANS(90-ForwardBend))/SIN(RADIANS(90-AngleBallToShoulder))</f>
        <v>100.02959370702142</v>
      </c>
      <c r="E38" s="29">
        <f>90-AngleBallToShoulder</f>
        <v>36.510778380348533</v>
      </c>
      <c r="F38" s="24">
        <f>DistanceRotationCentreToBall*SIN(RADIANS(RotationAngle))</f>
        <v>59.515007121271523</v>
      </c>
      <c r="G38" s="34">
        <f>(RotationTotal/DegreesCircle)*(2*RadiusClubCircle*Pi)/Duration*ScalingFactor*InchSec2MPH</f>
        <v>7.9675715783602268</v>
      </c>
      <c r="H38" s="34">
        <v>0</v>
      </c>
      <c r="I38" s="34">
        <v>0</v>
      </c>
      <c r="J38" s="27">
        <f>ClubSpeedBasicRotation+ClubSpeedLateralMovement+ClubSpeedSpinalTilt</f>
        <v>7.9675715783602268</v>
      </c>
    </row>
    <row r="39" spans="1:12" s="3" customFormat="1">
      <c r="A39" s="33" t="s">
        <v>11</v>
      </c>
      <c r="B39" s="54">
        <f>FramesHips/CameraFPS</f>
        <v>0.40740740740740738</v>
      </c>
      <c r="C39" s="21">
        <f>RotationHipsPushClearBasic+RotationHipsAdditional</f>
        <v>32.062191157541477</v>
      </c>
      <c r="D39" s="28">
        <f>LengthBallShoulder+(LengthSpine+LengthHipstoSpineBase)*SIN(RADIANS(90-ForwardBend))/SIN(RADIANS(90-AngleBallToShoulder))</f>
        <v>100.02959370702142</v>
      </c>
      <c r="E39" s="29">
        <f>90-AngleBallToShoulder</f>
        <v>36.510778380348533</v>
      </c>
      <c r="F39" s="24">
        <f>DistanceRotationCentreToBall*SIN(RADIANS(RotationAngle))</f>
        <v>59.515007121271523</v>
      </c>
      <c r="G39" s="34">
        <f>(RotationTotal/DegreesCircle)*(2*RadiusClubCircle*Pi)/Duration*ScalingFactor*InchSec2MPH</f>
        <v>4.6446873273960003</v>
      </c>
      <c r="H39" s="36">
        <f>MovementHipsLateralPandC/Duration*ScalingFactor*InchSec2MPH</f>
        <v>0.41838842975206614</v>
      </c>
      <c r="I39" s="34">
        <v>0</v>
      </c>
      <c r="J39" s="27">
        <f>ClubSpeedBasicRotation+ClubSpeedLateralMovement+ClubSpeedSpinalTilt</f>
        <v>5.0630757571480665</v>
      </c>
    </row>
    <row r="40" spans="1:12">
      <c r="A40" s="37" t="s">
        <v>13</v>
      </c>
      <c r="B40" s="54">
        <f>FramesHips/CameraFPS</f>
        <v>0.40740740740740738</v>
      </c>
      <c r="C40" s="21">
        <f>RotationHipsBasic+RotationHipsAdditional</f>
        <v>55</v>
      </c>
      <c r="D40" s="28">
        <f>LengthBallShoulder</f>
        <v>63.640381359286351</v>
      </c>
      <c r="E40" s="29">
        <f>90-AngleBallToShoulder</f>
        <v>36.510778380348533</v>
      </c>
      <c r="F40" s="24">
        <f>DistanceRotationCentreToBall*SIN(RADIANS(RotationAngle))</f>
        <v>37.864372026660554</v>
      </c>
      <c r="G40" s="34">
        <f>(RotationTotal/DegreesCircle)*(2*RadiusClubCircle*Pi)/Duration*ScalingFactor*InchSec2MPH</f>
        <v>5.0690928050691824</v>
      </c>
      <c r="H40" s="34">
        <v>0</v>
      </c>
      <c r="I40" s="36">
        <f>2*(DEGREES(ASIN((SpineMovementFromForwardLean/2)/LengthSpine))/DegreesCircle)*(LengthBallShoulder-LengthSpine)*Pi*2/Duration*ScalingFactor*InchSec2MPH</f>
        <v>3.2856833458958756</v>
      </c>
      <c r="J40" s="27">
        <f>ClubSpeedBasicRotation+ClubSpeedLateralMovement+ClubSpeedSpinalTilt</f>
        <v>8.3547761509650584</v>
      </c>
      <c r="K40"/>
    </row>
    <row r="41" spans="1:12" ht="15" customHeight="1">
      <c r="A41" s="33" t="s">
        <v>12</v>
      </c>
      <c r="B41" s="54">
        <f>FramesHips/CameraFPS</f>
        <v>0.40740740740740738</v>
      </c>
      <c r="C41" s="21">
        <f>RotationHipsPushClearBasic+RotationHipsAdditional</f>
        <v>32.062191157541477</v>
      </c>
      <c r="D41" s="28">
        <f>LengthBallShoulder</f>
        <v>63.640381359286351</v>
      </c>
      <c r="E41" s="29">
        <f>90-AngleBallToShoulder</f>
        <v>36.510778380348533</v>
      </c>
      <c r="F41" s="24">
        <f>DistanceRotationCentreToBall*SIN(RADIANS(RotationAngle))</f>
        <v>37.864372026660554</v>
      </c>
      <c r="G41" s="34">
        <f>(RotationTotal/DegreesCircle)*(2*RadiusClubCircle*Pi)/Duration*ScalingFactor*InchSec2MPH</f>
        <v>2.9550222274808409</v>
      </c>
      <c r="H41" s="34">
        <v>0</v>
      </c>
      <c r="I41" s="36">
        <f>2*(DEGREES(ASIN(((SpineMovementFromForwardLean+MovementHipsLateralPandC)/2)/LengthSpine))/DegreesCircle)*(LengthBallShoulder-LengthSpine)*Pi*2/Duration*ScalingFactor*InchSec2MPH</f>
        <v>4.4408311235750935</v>
      </c>
      <c r="J41" s="27">
        <f>ClubSpeedBasicRotation+ClubSpeedLateralMovement+ClubSpeedSpinalTilt</f>
        <v>7.3958533510559343</v>
      </c>
      <c r="K41"/>
    </row>
    <row r="42" spans="1:12">
      <c r="A42" s="38" t="s">
        <v>0</v>
      </c>
      <c r="B42" s="39"/>
      <c r="C42" s="30"/>
      <c r="D42" s="30"/>
      <c r="E42" s="30"/>
      <c r="F42" s="32"/>
      <c r="G42" s="30"/>
      <c r="H42" s="30"/>
      <c r="I42" s="30"/>
      <c r="J42" s="40"/>
      <c r="K42" s="55"/>
    </row>
    <row r="43" spans="1:12">
      <c r="A43" s="33" t="s">
        <v>14</v>
      </c>
      <c r="B43" s="41"/>
      <c r="C43" s="30"/>
      <c r="D43" s="30"/>
      <c r="E43" s="30"/>
      <c r="F43" s="32"/>
      <c r="G43" s="30"/>
      <c r="H43" s="30"/>
      <c r="I43" s="30"/>
      <c r="J43" s="42">
        <f>SUM($J$31:$J$36)+J38</f>
        <v>78.21489944879292</v>
      </c>
      <c r="L43" s="7"/>
    </row>
    <row r="44" spans="1:12">
      <c r="A44" s="33" t="s">
        <v>11</v>
      </c>
      <c r="B44" s="41"/>
      <c r="C44" s="30"/>
      <c r="D44" s="30"/>
      <c r="E44" s="30"/>
      <c r="F44" s="32"/>
      <c r="G44" s="30"/>
      <c r="H44" s="30"/>
      <c r="I44" s="30"/>
      <c r="J44" s="42">
        <f>SUM($J$31:$J$36)+J39</f>
        <v>75.310403627580769</v>
      </c>
      <c r="L44" s="7"/>
    </row>
    <row r="45" spans="1:12">
      <c r="A45" s="37" t="s">
        <v>13</v>
      </c>
      <c r="B45" s="41"/>
      <c r="C45" s="30"/>
      <c r="D45" s="30"/>
      <c r="E45" s="30"/>
      <c r="F45" s="32"/>
      <c r="G45" s="30"/>
      <c r="H45" s="30"/>
      <c r="I45" s="30"/>
      <c r="J45" s="42">
        <f>SUM($J$31:$J$36)+J40</f>
        <v>78.602104021397764</v>
      </c>
      <c r="L45" s="7"/>
    </row>
    <row r="46" spans="1:12">
      <c r="A46" s="33" t="s">
        <v>12</v>
      </c>
      <c r="B46" s="41"/>
      <c r="C46" s="30"/>
      <c r="D46" s="30"/>
      <c r="E46" s="30"/>
      <c r="F46" s="32"/>
      <c r="G46" s="30"/>
      <c r="H46" s="30"/>
      <c r="I46" s="30"/>
      <c r="J46" s="42">
        <f>SUM($J$31:$J$36)+J41</f>
        <v>77.643181221488632</v>
      </c>
      <c r="L46" s="7"/>
    </row>
    <row r="49" spans="1:4">
      <c r="A49" s="8"/>
      <c r="B49" s="8"/>
      <c r="C49" s="8"/>
    </row>
    <row r="50" spans="1:4">
      <c r="A50" s="8"/>
      <c r="B50" s="9"/>
      <c r="C50" s="8"/>
    </row>
    <row r="51" spans="1:4">
      <c r="A51" s="8"/>
      <c r="B51" s="9"/>
      <c r="C51" s="8"/>
    </row>
    <row r="52" spans="1:4">
      <c r="A52" s="11"/>
      <c r="B52" s="10"/>
      <c r="D52" s="12"/>
    </row>
    <row r="58" spans="1:4">
      <c r="A58" s="13"/>
    </row>
    <row r="59" spans="1:4">
      <c r="A59" s="13"/>
    </row>
    <row r="62" spans="1:4">
      <c r="A62" s="13"/>
    </row>
  </sheetData>
  <mergeCells count="28">
    <mergeCell ref="A22:G22"/>
    <mergeCell ref="A17:G17"/>
    <mergeCell ref="A2:G2"/>
    <mergeCell ref="C8:F8"/>
    <mergeCell ref="C12:F12"/>
    <mergeCell ref="C11:F11"/>
    <mergeCell ref="C6:F6"/>
    <mergeCell ref="C5:F5"/>
    <mergeCell ref="C10:F10"/>
    <mergeCell ref="C9:F9"/>
    <mergeCell ref="C7:F7"/>
    <mergeCell ref="C14:F14"/>
    <mergeCell ref="A1:J1"/>
    <mergeCell ref="C3:F3"/>
    <mergeCell ref="C24:F24"/>
    <mergeCell ref="B29:G29"/>
    <mergeCell ref="A28:J28"/>
    <mergeCell ref="C18:F18"/>
    <mergeCell ref="C19:F19"/>
    <mergeCell ref="C16:F16"/>
    <mergeCell ref="C20:F20"/>
    <mergeCell ref="C15:F15"/>
    <mergeCell ref="C13:F13"/>
    <mergeCell ref="C4:F4"/>
    <mergeCell ref="H2:J24"/>
    <mergeCell ref="A25:J27"/>
    <mergeCell ref="C21:F21"/>
    <mergeCell ref="C23:F23"/>
  </mergeCells>
  <printOptions gridLines="1"/>
  <pageMargins left="0.70866141732283472" right="0.70866141732283472" top="0.74803149606299213" bottom="0.74803149606299213" header="0.31496062992125984" footer="0.31496062992125984"/>
  <pageSetup scale="74" fitToHeight="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sqref="A1:J46"/>
    </sheetView>
  </sheetViews>
  <sheetFormatPr defaultRowHeight="15"/>
  <cols>
    <col min="1" max="1" width="34.42578125" customWidth="1"/>
    <col min="2" max="10" width="9.5703125" customWidth="1"/>
    <col min="11" max="11" width="6.7109375" customWidth="1"/>
  </cols>
  <sheetData>
    <row r="1" ht="30" customHeight="1"/>
    <row r="2" ht="30" customHeight="1"/>
    <row r="3" ht="30" customHeight="1"/>
    <row r="4" ht="30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53</vt:i4>
      </vt:variant>
    </vt:vector>
  </HeadingPairs>
  <TitlesOfParts>
    <vt:vector size="55" baseType="lpstr">
      <vt:lpstr>Model</vt:lpstr>
      <vt:lpstr>Sheet2</vt:lpstr>
      <vt:lpstr>AngleBallToShoulder</vt:lpstr>
      <vt:lpstr>AngleClubArm</vt:lpstr>
      <vt:lpstr>CameraFPS</vt:lpstr>
      <vt:lpstr>CllubSpeedBasicRotation</vt:lpstr>
      <vt:lpstr>ClubSpeedBasicRotation</vt:lpstr>
      <vt:lpstr>ClubSpeedLateralMovement</vt:lpstr>
      <vt:lpstr>ClubSpeedSpinalTilt</vt:lpstr>
      <vt:lpstr>DegreesCircle</vt:lpstr>
      <vt:lpstr>DistanceRotationCentreToBall</vt:lpstr>
      <vt:lpstr>Duration</vt:lpstr>
      <vt:lpstr>ForwardBend</vt:lpstr>
      <vt:lpstr>FramesForearms</vt:lpstr>
      <vt:lpstr>FramesHips</vt:lpstr>
      <vt:lpstr>FramesShoulderSockets</vt:lpstr>
      <vt:lpstr>FramesSpinalTwist</vt:lpstr>
      <vt:lpstr>FramesUpperArm</vt:lpstr>
      <vt:lpstr>FramesWrists</vt:lpstr>
      <vt:lpstr>HipHeight</vt:lpstr>
      <vt:lpstr>HipHeightAdjustment</vt:lpstr>
      <vt:lpstr>InchSec2MPH</vt:lpstr>
      <vt:lpstr>LeadHipMovementPureRotation</vt:lpstr>
      <vt:lpstr>LengthArms</vt:lpstr>
      <vt:lpstr>LengthBallShoulder</vt:lpstr>
      <vt:lpstr>LengthClub</vt:lpstr>
      <vt:lpstr>LengthHipJoints</vt:lpstr>
      <vt:lpstr>LengthHipstoSpineBase</vt:lpstr>
      <vt:lpstr>LengthShoulderSockets</vt:lpstr>
      <vt:lpstr>LengthSpine</vt:lpstr>
      <vt:lpstr>MovementHipsLateralPandC</vt:lpstr>
      <vt:lpstr>MovementShoulderSocket</vt:lpstr>
      <vt:lpstr>Pi</vt:lpstr>
      <vt:lpstr>Model!Print_Area</vt:lpstr>
      <vt:lpstr>RadiusClubCircle</vt:lpstr>
      <vt:lpstr>RotationAngle</vt:lpstr>
      <vt:lpstr>RotationForearms</vt:lpstr>
      <vt:lpstr>RotationHipsAdditional</vt:lpstr>
      <vt:lpstr>RotationHipsBasic</vt:lpstr>
      <vt:lpstr>RotationHipsPushClearBasic</vt:lpstr>
      <vt:lpstr>RotationShoulderSocket</vt:lpstr>
      <vt:lpstr>RotationSpine</vt:lpstr>
      <vt:lpstr>RotationSpineSocketsAdditional</vt:lpstr>
      <vt:lpstr>RotationTotal</vt:lpstr>
      <vt:lpstr>RotationUpperArmsAroundSocket</vt:lpstr>
      <vt:lpstr>RotationUpperArmsInSocket</vt:lpstr>
      <vt:lpstr>RotationWrists</vt:lpstr>
      <vt:lpstr>ScalingFactor</vt:lpstr>
      <vt:lpstr>SpineMovementFromForwardLean</vt:lpstr>
      <vt:lpstr>TImeForearm</vt:lpstr>
      <vt:lpstr>TimeHips</vt:lpstr>
      <vt:lpstr>TimeSpine</vt:lpstr>
      <vt:lpstr>TimeUpperArmAroundSocket</vt:lpstr>
      <vt:lpstr>TImeUpperArmInSocket</vt:lpstr>
      <vt:lpstr>TimeWrists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</dc:creator>
  <cp:lastModifiedBy>Anni</cp:lastModifiedBy>
  <cp:lastPrinted>2015-05-04T00:09:49Z</cp:lastPrinted>
  <dcterms:created xsi:type="dcterms:W3CDTF">2014-09-03T12:31:26Z</dcterms:created>
  <dcterms:modified xsi:type="dcterms:W3CDTF">2015-07-29T17:04:14Z</dcterms:modified>
</cp:coreProperties>
</file>